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5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<sst xmlns="http://schemas.openxmlformats.org/spreadsheetml/2006/main" count="142" uniqueCount="126">
  <si>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</si>
  <si>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</si>
  <si>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</si>
  <si>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</si>
  <si>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</si>
  <si>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</si>
  <si>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</si>
  <si>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</si>
  <si>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</si>
  <si>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</si>
  <si>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</si>
  <si>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</si>
  <si>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</si>
  <si>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</si>
  <si>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</si>
  <si>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</si>
  <si>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</si>
  <si>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</si>
  <si>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</si>
  <si>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</si>
  <si>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</si>
  <si>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</si>
  <si>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</si>
  <si>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</si>
  <si>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</si>
  <si>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</si>
  <si>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</si>
  <si>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</si>
  <si>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</si>
  <si>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</si>
  <si>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</si>
  <si>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</si>
  <si>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</si>
  <si>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</si>
  <si>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</si>
  <si>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</si>
  <si>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</si>
  <si>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</si>
  <si>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</si>
  <si>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</si>
  <si>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</si>
  <si>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</si>
  <si>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</si>
  <si>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</si>
  <si>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</si>
  <si>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</si>
  <si>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</si>
  <si>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</si>
  <si>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</si>
  <si>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</si>
  <si>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</si>
  <si>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</si>
  <si>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</si>
  <si>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</si>
  <si>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</si>
  <si>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</si>
  <si>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</si>
  <si>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</si>
  <si>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</si>
  <si>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</si>
  <si>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</si>
  <si>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</si>
  <si>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</si>
  <si>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</si>
  <si>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</si>
  <si>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</si>
  <si>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</si>
  <si>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</si>
  <si>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</si>
  <si>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</si>
  <si>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</si>
  <si>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</si>
  <si>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</si>
  <si>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</si>
  <si>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</si>
  <si>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</si>
  <si>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</si>
  <si>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</si>
  <si>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</si>
  <si>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</si>
  <si>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</si>
  <si>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</si>
  <si>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</si>
  <si>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</si>
  <si>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</si>
  <si>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</si>
  <si>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</si>
  <si>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</si>
  <si>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</si>
  <si>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</si>
  <si>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</si>
  <si>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</si>
  <si>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</si>
  <si>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</si>
  <si>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</si>
  <si>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</si>
  <si>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</si>
  <si>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</si>
  <si>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</si>
  <si>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</si>
  <si>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</si>
  <si>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</si>
  <si>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</si>
  <si>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</si>
  <si>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</si>
  <si>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</si>
  <si>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</si>
  <si>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</si>
  <si>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</si>
  <si>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</si>
  <si>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</si>
  <si>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</si>
  <si>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1.14</t>
  </si>
  <si>
    <t>1.15</t>
  </si>
  <si>
    <t>1.16</t>
  </si>
  <si>
    <t>1.17</t>
  </si>
  <si>
    <t>4,9</t>
  </si>
  <si>
    <t xml:space="preserve">Утриманя та розвиток парків та скверів міста , в т.ч. </t>
  </si>
  <si>
    <t>фінансова підтримка КП "Дирекція парків" на утриманя зелених насаджень та зелених зон; прибираня доріжок</t>
  </si>
  <si>
    <t>4.13</t>
  </si>
  <si>
    <t>Капітальний ремонт житлового будинку по вул.Благовісна,214 в м. Черкаси заміна водопідігрівача)</t>
  </si>
  <si>
    <t>Капітальний ремонт  житлового будинку по вул. Різдвяній,56 (технічне обстеження несучих та огороджувальних конструкцій з причин деформації)</t>
  </si>
  <si>
    <t>Капітальний ремонт житлового будинку по вул. Нарбутівська 8/1 (заміна насосів в підкачуючій насосній станції)</t>
  </si>
  <si>
    <t>1.18</t>
  </si>
  <si>
    <t>1.19</t>
  </si>
  <si>
    <t>Профінансовано на 02.11.2016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</si>
</sst>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3" fillId="22" borderId="7" applyNumberFormat="0" applyAlignment="0" applyProtection="0"/>
    <xf numFmtId="0" fontId="3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11" fillId="0" borderId="0">
      <alignment/>
      <protection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6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 vertical="center"/>
    </xf>
    <xf numFmtId="198" fontId="23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="55" zoomScaleNormal="55" zoomScalePageLayoutView="0" workbookViewId="0" topLeftCell="A3">
      <selection activeCell="X16" sqref="X16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5" t="s">
        <v>90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6:19" ht="28.5" customHeight="1">
      <c r="P2" s="86"/>
      <c r="R2" s="86"/>
      <c r="S2" s="71" t="s">
        <v>51</v>
      </c>
    </row>
    <row r="3" spans="1:19" ht="20.25" customHeight="1">
      <c r="A3" s="102" t="s">
        <v>16</v>
      </c>
      <c r="B3" s="102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2" t="s">
        <v>23</v>
      </c>
      <c r="I3" s="102" t="s">
        <v>24</v>
      </c>
      <c r="J3" s="102" t="s">
        <v>25</v>
      </c>
      <c r="K3" s="102" t="s">
        <v>26</v>
      </c>
      <c r="L3" s="102"/>
      <c r="M3" s="102"/>
      <c r="N3" s="111" t="s">
        <v>11</v>
      </c>
      <c r="O3" s="112" t="s">
        <v>12</v>
      </c>
      <c r="P3" s="113" t="s">
        <v>10</v>
      </c>
      <c r="Q3" s="113"/>
      <c r="R3" s="103" t="s">
        <v>125</v>
      </c>
      <c r="S3" s="116" t="s">
        <v>79</v>
      </c>
    </row>
    <row r="4" spans="1:19" ht="19.5">
      <c r="A4" s="102"/>
      <c r="B4" s="102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2"/>
      <c r="I4" s="102"/>
      <c r="J4" s="102"/>
      <c r="K4" s="102"/>
      <c r="L4" s="102"/>
      <c r="M4" s="102"/>
      <c r="N4" s="111"/>
      <c r="O4" s="111"/>
      <c r="P4" s="114" t="s">
        <v>15</v>
      </c>
      <c r="Q4" s="115"/>
      <c r="R4" s="104"/>
      <c r="S4" s="117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7" t="s">
        <v>27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O6" s="109"/>
      <c r="P6" s="109"/>
      <c r="Q6" s="109"/>
      <c r="R6" s="109"/>
      <c r="S6" s="110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SUM(M8:M26)</f>
        <v>8339434.76</v>
      </c>
      <c r="N7" s="94"/>
      <c r="O7" s="96">
        <f>SUM(O8:O26)</f>
        <v>8339434.76</v>
      </c>
      <c r="P7" s="96">
        <f>SUM(P8:P26)</f>
        <v>8339434.76</v>
      </c>
      <c r="Q7" s="95"/>
      <c r="R7" s="96">
        <f>SUM(R8:R26)</f>
        <v>5742722.63</v>
      </c>
      <c r="S7" s="99">
        <f>R7/M7*100</f>
        <v>68.86225260187778</v>
      </c>
    </row>
    <row r="8" spans="1:19" ht="54.75" customHeight="1">
      <c r="A8" s="92" t="s">
        <v>74</v>
      </c>
      <c r="B8" s="64" t="s">
        <v>92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6">N8+O8</f>
        <v>105000</v>
      </c>
      <c r="N8" s="48"/>
      <c r="O8" s="93">
        <v>105000</v>
      </c>
      <c r="P8" s="93">
        <v>105000</v>
      </c>
      <c r="Q8" s="95"/>
      <c r="R8" s="89">
        <f>4800</f>
        <v>4800</v>
      </c>
      <c r="S8" s="90">
        <f>R8/M8*100</f>
        <v>4.571428571428571</v>
      </c>
    </row>
    <row r="9" spans="1:19" ht="85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5352093</v>
      </c>
      <c r="N9" s="48"/>
      <c r="O9" s="93">
        <v>5352093</v>
      </c>
      <c r="P9" s="93">
        <f>O9</f>
        <v>5352093</v>
      </c>
      <c r="Q9" s="95"/>
      <c r="R9" s="89">
        <v>4728107.3</v>
      </c>
      <c r="S9" s="90">
        <f aca="true" t="shared" si="1" ref="S9:S73">R9/M9*100</f>
        <v>88.34127695464186</v>
      </c>
    </row>
    <row r="10" spans="1:19" ht="29.25" customHeight="1">
      <c r="A10" s="92" t="s">
        <v>70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 t="s">
        <v>71</v>
      </c>
      <c r="B11" s="64" t="s">
        <v>104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f t="shared" si="0"/>
        <v>99935</v>
      </c>
      <c r="N11" s="48"/>
      <c r="O11" s="93">
        <v>99935</v>
      </c>
      <c r="P11" s="93">
        <f>O11</f>
        <v>99935</v>
      </c>
      <c r="Q11" s="95"/>
      <c r="R11" s="89">
        <f>4943.46+67000</f>
        <v>71943.46</v>
      </c>
      <c r="S11" s="90">
        <f t="shared" si="1"/>
        <v>71.99025366488218</v>
      </c>
    </row>
    <row r="12" spans="1:19" ht="45.75" customHeight="1">
      <c r="A12" s="92" t="s">
        <v>72</v>
      </c>
      <c r="B12" s="64" t="s">
        <v>121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f t="shared" si="0"/>
        <v>48000</v>
      </c>
      <c r="N12" s="48"/>
      <c r="O12" s="93">
        <v>48000</v>
      </c>
      <c r="P12" s="93">
        <f>O12</f>
        <v>48000</v>
      </c>
      <c r="Q12" s="95"/>
      <c r="R12" s="89">
        <v>0</v>
      </c>
      <c r="S12" s="90">
        <f t="shared" si="1"/>
        <v>0</v>
      </c>
    </row>
    <row r="13" spans="1:19" ht="29.25" customHeight="1">
      <c r="A13" s="92" t="s">
        <v>73</v>
      </c>
      <c r="B13" s="64" t="s">
        <v>122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f t="shared" si="0"/>
        <v>97000</v>
      </c>
      <c r="N13" s="48"/>
      <c r="O13" s="93">
        <v>97000</v>
      </c>
      <c r="P13" s="93">
        <f>O13</f>
        <v>97000</v>
      </c>
      <c r="Q13" s="95"/>
      <c r="R13" s="89">
        <v>0</v>
      </c>
      <c r="S13" s="90">
        <f t="shared" si="1"/>
        <v>0</v>
      </c>
    </row>
    <row r="14" spans="1:19" ht="29.25" customHeight="1">
      <c r="A14" s="92" t="s">
        <v>75</v>
      </c>
      <c r="B14" s="64" t="s">
        <v>105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f t="shared" si="0"/>
        <v>78000</v>
      </c>
      <c r="N14" s="48"/>
      <c r="O14" s="93">
        <v>78000</v>
      </c>
      <c r="P14" s="93">
        <v>78000</v>
      </c>
      <c r="Q14" s="95"/>
      <c r="R14" s="89">
        <f>2922+18000</f>
        <v>20922</v>
      </c>
      <c r="S14" s="90">
        <f t="shared" si="1"/>
        <v>26.823076923076922</v>
      </c>
    </row>
    <row r="15" spans="1:19" ht="37.5">
      <c r="A15" s="92" t="s">
        <v>76</v>
      </c>
      <c r="B15" s="64" t="s">
        <v>106</v>
      </c>
      <c r="C15" s="9"/>
      <c r="D15" s="63"/>
      <c r="E15" s="63"/>
      <c r="F15" s="63"/>
      <c r="G15" s="63"/>
      <c r="H15" s="63"/>
      <c r="I15" s="63"/>
      <c r="J15" s="63"/>
      <c r="K15" s="63"/>
      <c r="L15" s="63"/>
      <c r="M15" s="77">
        <f t="shared" si="0"/>
        <v>100000</v>
      </c>
      <c r="N15" s="48"/>
      <c r="O15" s="93">
        <v>100000</v>
      </c>
      <c r="P15" s="93">
        <v>100000</v>
      </c>
      <c r="Q15" s="95"/>
      <c r="R15" s="89">
        <v>0</v>
      </c>
      <c r="S15" s="90">
        <f t="shared" si="1"/>
        <v>0</v>
      </c>
    </row>
    <row r="16" spans="1:19" ht="42.75" customHeight="1">
      <c r="A16" s="92" t="s">
        <v>77</v>
      </c>
      <c r="B16" s="64" t="s">
        <v>120</v>
      </c>
      <c r="C16" s="9"/>
      <c r="D16" s="63"/>
      <c r="E16" s="63"/>
      <c r="F16" s="63"/>
      <c r="G16" s="63"/>
      <c r="H16" s="63"/>
      <c r="I16" s="63"/>
      <c r="J16" s="63"/>
      <c r="K16" s="63"/>
      <c r="L16" s="63"/>
      <c r="M16" s="77">
        <f t="shared" si="0"/>
        <v>100000</v>
      </c>
      <c r="N16" s="48"/>
      <c r="O16" s="93">
        <v>100000</v>
      </c>
      <c r="P16" s="93">
        <v>100000</v>
      </c>
      <c r="Q16" s="95"/>
      <c r="R16" s="89">
        <v>0</v>
      </c>
      <c r="S16" s="90">
        <f t="shared" si="1"/>
        <v>0</v>
      </c>
    </row>
    <row r="17" spans="1:19" ht="26.25" customHeight="1">
      <c r="A17" s="92" t="s">
        <v>80</v>
      </c>
      <c r="B17" s="64" t="s">
        <v>57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7">
        <f t="shared" si="0"/>
        <v>200000</v>
      </c>
      <c r="N17" s="48"/>
      <c r="O17" s="93">
        <v>200000</v>
      </c>
      <c r="P17" s="93">
        <v>200000</v>
      </c>
      <c r="Q17" s="95"/>
      <c r="R17" s="89">
        <v>0</v>
      </c>
      <c r="S17" s="90">
        <f t="shared" si="1"/>
        <v>0</v>
      </c>
    </row>
    <row r="18" spans="1:19" ht="36.75" customHeight="1">
      <c r="A18" s="92" t="s">
        <v>81</v>
      </c>
      <c r="B18" s="65" t="s">
        <v>93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7">
        <f t="shared" si="0"/>
        <v>105000</v>
      </c>
      <c r="N18" s="48"/>
      <c r="O18" s="93">
        <v>105000</v>
      </c>
      <c r="P18" s="93">
        <v>105000</v>
      </c>
      <c r="Q18" s="95"/>
      <c r="R18" s="89">
        <f>4800</f>
        <v>4800</v>
      </c>
      <c r="S18" s="90">
        <f t="shared" si="1"/>
        <v>4.571428571428571</v>
      </c>
    </row>
    <row r="19" spans="1:19" ht="49.5" customHeight="1">
      <c r="A19" s="92" t="s">
        <v>99</v>
      </c>
      <c r="B19" s="65" t="s">
        <v>94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7">
        <f t="shared" si="0"/>
        <v>105000</v>
      </c>
      <c r="N19" s="48"/>
      <c r="O19" s="93">
        <v>105000</v>
      </c>
      <c r="P19" s="93">
        <v>105000</v>
      </c>
      <c r="Q19" s="95"/>
      <c r="R19" s="89">
        <f>4800</f>
        <v>4800</v>
      </c>
      <c r="S19" s="90">
        <f t="shared" si="1"/>
        <v>4.571428571428571</v>
      </c>
    </row>
    <row r="20" spans="1:19" ht="33.75" customHeight="1">
      <c r="A20" s="92" t="s">
        <v>101</v>
      </c>
      <c r="B20" s="65" t="s">
        <v>58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7">
        <f t="shared" si="0"/>
        <v>339895</v>
      </c>
      <c r="N20" s="48"/>
      <c r="O20" s="93">
        <v>339895</v>
      </c>
      <c r="P20" s="93">
        <v>339895</v>
      </c>
      <c r="Q20" s="95"/>
      <c r="R20" s="89">
        <f>3090+7209.99+96840+45016.8+180945.25</f>
        <v>333102.04000000004</v>
      </c>
      <c r="S20" s="90">
        <f t="shared" si="1"/>
        <v>98.00145339001752</v>
      </c>
    </row>
    <row r="21" spans="1:19" ht="69" customHeight="1">
      <c r="A21" s="92" t="s">
        <v>112</v>
      </c>
      <c r="B21" s="65" t="s">
        <v>95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7">
        <f t="shared" si="0"/>
        <v>159367</v>
      </c>
      <c r="N21" s="48"/>
      <c r="O21" s="93">
        <v>159367</v>
      </c>
      <c r="P21" s="93">
        <v>159367</v>
      </c>
      <c r="Q21" s="95"/>
      <c r="R21" s="89">
        <f>12009.56+4926+59600+28022.3+13717.83</f>
        <v>118275.69</v>
      </c>
      <c r="S21" s="90">
        <f t="shared" si="1"/>
        <v>74.21592299535035</v>
      </c>
    </row>
    <row r="22" spans="1:19" ht="46.5" customHeight="1">
      <c r="A22" s="92" t="s">
        <v>113</v>
      </c>
      <c r="B22" s="65" t="s">
        <v>96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7">
        <f t="shared" si="0"/>
        <v>60000</v>
      </c>
      <c r="N22" s="48"/>
      <c r="O22" s="93">
        <v>60000</v>
      </c>
      <c r="P22" s="93">
        <v>60000</v>
      </c>
      <c r="Q22" s="95"/>
      <c r="R22" s="89">
        <v>4562.03</v>
      </c>
      <c r="S22" s="90">
        <f t="shared" si="1"/>
        <v>7.6033833333333325</v>
      </c>
    </row>
    <row r="23" spans="1:19" ht="54.75" customHeight="1">
      <c r="A23" s="92" t="s">
        <v>114</v>
      </c>
      <c r="B23" s="65" t="s">
        <v>97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7">
        <f t="shared" si="0"/>
        <v>1029985</v>
      </c>
      <c r="N23" s="48"/>
      <c r="O23" s="93">
        <v>1029985</v>
      </c>
      <c r="P23" s="93">
        <f>O23</f>
        <v>1029985</v>
      </c>
      <c r="Q23" s="95"/>
      <c r="R23" s="89">
        <f>5921+13816.52+296704+21654.63+103554.2</f>
        <v>441650.35000000003</v>
      </c>
      <c r="S23" s="90">
        <f t="shared" si="1"/>
        <v>42.87929921309534</v>
      </c>
    </row>
    <row r="24" spans="1:19" ht="39" customHeight="1">
      <c r="A24" s="92" t="s">
        <v>115</v>
      </c>
      <c r="B24" s="65" t="s">
        <v>98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7">
        <f t="shared" si="0"/>
        <v>159.76</v>
      </c>
      <c r="N24" s="48"/>
      <c r="O24" s="93">
        <v>159.76</v>
      </c>
      <c r="P24" s="93">
        <f>O24</f>
        <v>159.76</v>
      </c>
      <c r="Q24" s="95"/>
      <c r="R24" s="89">
        <v>159.76</v>
      </c>
      <c r="S24" s="90">
        <f t="shared" si="1"/>
        <v>100</v>
      </c>
    </row>
    <row r="25" spans="1:19" ht="39" customHeight="1">
      <c r="A25" s="92" t="s">
        <v>123</v>
      </c>
      <c r="B25" s="65" t="s">
        <v>100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77">
        <f t="shared" si="0"/>
        <v>105000</v>
      </c>
      <c r="N25" s="48"/>
      <c r="O25" s="93">
        <v>105000</v>
      </c>
      <c r="P25" s="93">
        <v>105000</v>
      </c>
      <c r="Q25" s="95"/>
      <c r="R25" s="89">
        <v>4800</v>
      </c>
      <c r="S25" s="90">
        <f t="shared" si="1"/>
        <v>4.571428571428571</v>
      </c>
    </row>
    <row r="26" spans="1:19" ht="39" customHeight="1">
      <c r="A26" s="92" t="s">
        <v>124</v>
      </c>
      <c r="B26" s="65" t="s">
        <v>102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7">
        <f t="shared" si="0"/>
        <v>105000</v>
      </c>
      <c r="N26" s="48"/>
      <c r="O26" s="93">
        <v>105000</v>
      </c>
      <c r="P26" s="93">
        <v>105000</v>
      </c>
      <c r="Q26" s="95"/>
      <c r="R26" s="89">
        <f>4800</f>
        <v>4800</v>
      </c>
      <c r="S26" s="90">
        <f t="shared" si="1"/>
        <v>4.571428571428571</v>
      </c>
    </row>
    <row r="27" spans="1:19" ht="21" customHeight="1">
      <c r="A27" s="12">
        <v>2</v>
      </c>
      <c r="B27" s="62" t="s">
        <v>59</v>
      </c>
      <c r="C27" s="18"/>
      <c r="D27" s="18"/>
      <c r="E27" s="18"/>
      <c r="F27" s="18"/>
      <c r="G27" s="19"/>
      <c r="H27" s="19"/>
      <c r="I27" s="19"/>
      <c r="J27" s="19"/>
      <c r="K27" s="19"/>
      <c r="L27" s="19"/>
      <c r="M27" s="60">
        <f>M28</f>
        <v>7445635</v>
      </c>
      <c r="N27" s="47"/>
      <c r="O27" s="69">
        <f>M27</f>
        <v>7445635</v>
      </c>
      <c r="P27" s="69">
        <f>O27</f>
        <v>7445635</v>
      </c>
      <c r="R27" s="81">
        <f>R28</f>
        <v>1024888.9500000001</v>
      </c>
      <c r="S27" s="82">
        <f t="shared" si="1"/>
        <v>13.764963633054805</v>
      </c>
    </row>
    <row r="28" spans="1:19" ht="66" customHeight="1">
      <c r="A28" s="55" t="s">
        <v>49</v>
      </c>
      <c r="B28" s="65" t="s">
        <v>60</v>
      </c>
      <c r="C28" s="18"/>
      <c r="D28" s="18"/>
      <c r="E28" s="18"/>
      <c r="F28" s="18"/>
      <c r="G28" s="19"/>
      <c r="H28" s="19"/>
      <c r="I28" s="19"/>
      <c r="J28" s="19"/>
      <c r="K28" s="19"/>
      <c r="L28" s="19"/>
      <c r="M28" s="78">
        <v>7445635</v>
      </c>
      <c r="N28" s="48"/>
      <c r="O28" s="66">
        <f>M28</f>
        <v>7445635</v>
      </c>
      <c r="P28" s="66">
        <f>O28</f>
        <v>7445635</v>
      </c>
      <c r="Q28" s="66">
        <f>P28</f>
        <v>7445635</v>
      </c>
      <c r="R28" s="66">
        <f>15377.02+68632.55+715754.24+209701.27+15423.87</f>
        <v>1024888.9500000001</v>
      </c>
      <c r="S28" s="83">
        <f t="shared" si="1"/>
        <v>13.764963633054805</v>
      </c>
    </row>
    <row r="29" spans="1:19" ht="19.5">
      <c r="A29" s="8">
        <v>3</v>
      </c>
      <c r="B29" s="9" t="s">
        <v>13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aca="true" t="shared" si="2" ref="M29:M67">N29+O29</f>
        <v>28400</v>
      </c>
      <c r="N29" s="47">
        <f>N30</f>
        <v>28400</v>
      </c>
      <c r="O29" s="47">
        <f>O30</f>
        <v>0</v>
      </c>
      <c r="P29" s="47">
        <f>P30</f>
        <v>0</v>
      </c>
      <c r="R29" s="47">
        <f>R30</f>
        <v>0</v>
      </c>
      <c r="S29" s="82">
        <f t="shared" si="1"/>
        <v>0</v>
      </c>
    </row>
    <row r="30" spans="1:19" ht="19.5">
      <c r="A30" s="55" t="s">
        <v>54</v>
      </c>
      <c r="B30" s="13" t="s">
        <v>28</v>
      </c>
      <c r="C30" s="14"/>
      <c r="D30" s="14"/>
      <c r="E30" s="15"/>
      <c r="F30" s="14"/>
      <c r="G30" s="14"/>
      <c r="H30" s="16"/>
      <c r="I30" s="16"/>
      <c r="J30" s="16"/>
      <c r="K30" s="16"/>
      <c r="L30" s="16"/>
      <c r="M30" s="59">
        <f t="shared" si="2"/>
        <v>28400</v>
      </c>
      <c r="N30" s="48">
        <v>28400</v>
      </c>
      <c r="O30" s="48">
        <v>0</v>
      </c>
      <c r="P30" s="48">
        <v>0</v>
      </c>
      <c r="R30" s="48">
        <v>0</v>
      </c>
      <c r="S30" s="83">
        <f t="shared" si="1"/>
        <v>0</v>
      </c>
    </row>
    <row r="31" spans="1:19" ht="19.5">
      <c r="A31" s="8">
        <v>4</v>
      </c>
      <c r="B31" s="9" t="s">
        <v>14</v>
      </c>
      <c r="C31" s="10"/>
      <c r="D31" s="10"/>
      <c r="E31" s="11"/>
      <c r="F31" s="10"/>
      <c r="G31" s="10"/>
      <c r="H31" s="12"/>
      <c r="I31" s="12"/>
      <c r="J31" s="12"/>
      <c r="K31" s="12"/>
      <c r="L31" s="12"/>
      <c r="M31" s="60">
        <f t="shared" si="2"/>
        <v>79765566.07</v>
      </c>
      <c r="N31" s="47">
        <f>N32+N36+N42+N46+N50+N52+N53+N54+N57+N60+N63+N64+N65+N66+N67+N68+N69+N55</f>
        <v>79765566.07</v>
      </c>
      <c r="O31" s="73">
        <f>O69</f>
        <v>0</v>
      </c>
      <c r="P31" s="73">
        <f>P69</f>
        <v>0</v>
      </c>
      <c r="R31" s="47">
        <f>R32+R36+R42+R46+R50+R52+R53+R54+R57+R60+R63+R64+R65+R66+R67+R68+R69+R55</f>
        <v>67503205.65</v>
      </c>
      <c r="S31" s="82">
        <f t="shared" si="1"/>
        <v>84.62700006511722</v>
      </c>
    </row>
    <row r="32" spans="1:19" ht="18.75">
      <c r="A32" s="38" t="s">
        <v>53</v>
      </c>
      <c r="B32" s="17" t="s">
        <v>0</v>
      </c>
      <c r="C32" s="18">
        <v>4945</v>
      </c>
      <c r="D32" s="18" t="e">
        <f>4797.2+#REF!</f>
        <v>#REF!</v>
      </c>
      <c r="E32" s="18">
        <v>516.2</v>
      </c>
      <c r="F32" s="18">
        <v>4326</v>
      </c>
      <c r="G32" s="19">
        <f>7616.03-3700.736</f>
        <v>3915.294</v>
      </c>
      <c r="H32" s="19">
        <v>3323</v>
      </c>
      <c r="I32" s="19">
        <v>4326</v>
      </c>
      <c r="J32" s="19" t="s">
        <v>29</v>
      </c>
      <c r="K32" s="19" t="s">
        <v>29</v>
      </c>
      <c r="L32" s="19" t="s">
        <v>29</v>
      </c>
      <c r="M32" s="59">
        <f t="shared" si="2"/>
        <v>10373200</v>
      </c>
      <c r="N32" s="48">
        <f>N33+N34+N35</f>
        <v>10373200</v>
      </c>
      <c r="O32" s="56"/>
      <c r="P32" s="56"/>
      <c r="R32" s="48">
        <f>R33+R34+R35</f>
        <v>7430761.630000001</v>
      </c>
      <c r="S32" s="83">
        <f t="shared" si="1"/>
        <v>71.63422695021787</v>
      </c>
    </row>
    <row r="33" spans="1:19" ht="18.75">
      <c r="A33" s="51"/>
      <c r="B33" s="20" t="s">
        <v>30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3915300</v>
      </c>
      <c r="N33" s="49">
        <v>3915300</v>
      </c>
      <c r="O33" s="56"/>
      <c r="P33" s="56"/>
      <c r="R33" s="49">
        <f>377576+371325+333575+309994.8+343665.2+183849+382449.6+208635+112435+213155+204635+153080+218500</f>
        <v>3412874.6</v>
      </c>
      <c r="S33" s="87">
        <f t="shared" si="1"/>
        <v>87.16763977217582</v>
      </c>
    </row>
    <row r="34" spans="1:19" ht="18.75">
      <c r="A34" s="51"/>
      <c r="B34" s="20" t="s">
        <v>31</v>
      </c>
      <c r="C34" s="21"/>
      <c r="D34" s="21"/>
      <c r="E34" s="21"/>
      <c r="F34" s="21"/>
      <c r="G34" s="22"/>
      <c r="H34" s="22"/>
      <c r="I34" s="22"/>
      <c r="J34" s="22"/>
      <c r="K34" s="22"/>
      <c r="L34" s="22"/>
      <c r="M34" s="70">
        <f t="shared" si="2"/>
        <v>6117500</v>
      </c>
      <c r="N34" s="49">
        <f>3700700+2416800</f>
        <v>6117500</v>
      </c>
      <c r="O34" s="56"/>
      <c r="P34" s="56"/>
      <c r="R34" s="49">
        <f>368514.26+320005.16+308997.12+245452.4+488986.08+424493.2+319141.43+361164.06+393613.2+515925.59</f>
        <v>3746292.5000000005</v>
      </c>
      <c r="S34" s="87">
        <f t="shared" si="1"/>
        <v>61.238945647731924</v>
      </c>
    </row>
    <row r="35" spans="1:19" ht="37.5">
      <c r="A35" s="51"/>
      <c r="B35" s="5" t="s">
        <v>32</v>
      </c>
      <c r="C35" s="21"/>
      <c r="D35" s="21"/>
      <c r="E35" s="21"/>
      <c r="F35" s="21"/>
      <c r="G35" s="22"/>
      <c r="H35" s="22"/>
      <c r="I35" s="22"/>
      <c r="J35" s="22"/>
      <c r="K35" s="22"/>
      <c r="L35" s="22"/>
      <c r="M35" s="70">
        <f t="shared" si="2"/>
        <v>340400</v>
      </c>
      <c r="N35" s="49">
        <v>340400</v>
      </c>
      <c r="O35" s="56"/>
      <c r="P35" s="56"/>
      <c r="R35" s="49">
        <f>31760+32267.33+557+3492.67+30267.33+3492.67+2457.54+28267.33+3492.67+30267.32+3492.67+30767.33+3492.67+30267.33+3492.67+28267.33+5492.67</f>
        <v>271594.53</v>
      </c>
      <c r="S35" s="88">
        <f t="shared" si="1"/>
        <v>79.78687720329025</v>
      </c>
    </row>
    <row r="36" spans="1:19" ht="18.75">
      <c r="A36" s="38" t="s">
        <v>61</v>
      </c>
      <c r="B36" s="23" t="s">
        <v>1</v>
      </c>
      <c r="C36" s="18">
        <v>5449.4</v>
      </c>
      <c r="D36" s="18">
        <f>C36</f>
        <v>5449.4</v>
      </c>
      <c r="E36" s="18">
        <v>1012.4</v>
      </c>
      <c r="F36" s="18">
        <v>4437</v>
      </c>
      <c r="G36" s="19">
        <v>8582.5</v>
      </c>
      <c r="H36" s="19">
        <v>1513.5</v>
      </c>
      <c r="I36" s="19">
        <v>4437</v>
      </c>
      <c r="J36" s="19"/>
      <c r="K36" s="19"/>
      <c r="L36" s="19"/>
      <c r="M36" s="59">
        <f t="shared" si="2"/>
        <v>5469440</v>
      </c>
      <c r="N36" s="48">
        <f>N37+N38+N39+N40+N41</f>
        <v>5469440</v>
      </c>
      <c r="O36" s="56"/>
      <c r="P36" s="56"/>
      <c r="R36" s="48">
        <f>R37+R38+R39+R40+R41</f>
        <v>5074108.42</v>
      </c>
      <c r="S36" s="83">
        <f t="shared" si="1"/>
        <v>92.77199164813949</v>
      </c>
    </row>
    <row r="37" spans="1:19" ht="18.75">
      <c r="A37" s="51"/>
      <c r="B37" s="25" t="s">
        <v>33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1799360</v>
      </c>
      <c r="N37" s="50">
        <v>1799360</v>
      </c>
      <c r="O37" s="56"/>
      <c r="P37" s="56"/>
      <c r="R37" s="50">
        <f>217430.51+24131.1+75354.44+26310+83994+124498.5+49141.8+90561.58+85135+265612.24+37000+95901+94500+48300+179347.42+146901.8+86841.09+62893.68+5505.6</f>
        <v>1799359.76</v>
      </c>
      <c r="S37" s="87">
        <f t="shared" si="1"/>
        <v>99.99998666192424</v>
      </c>
    </row>
    <row r="38" spans="1:19" ht="18.75">
      <c r="A38" s="51"/>
      <c r="B38" s="25" t="s">
        <v>34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143000</v>
      </c>
      <c r="N38" s="50">
        <f>45000+98000</f>
        <v>143000</v>
      </c>
      <c r="O38" s="56"/>
      <c r="P38" s="56" t="s">
        <v>103</v>
      </c>
      <c r="R38" s="50">
        <f>30000+97950+15000</f>
        <v>142950</v>
      </c>
      <c r="S38" s="87">
        <f t="shared" si="1"/>
        <v>99.96503496503496</v>
      </c>
    </row>
    <row r="39" spans="1:19" ht="37.5">
      <c r="A39" s="51"/>
      <c r="B39" s="20" t="s">
        <v>35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3030080</v>
      </c>
      <c r="N39" s="50">
        <f>1231480+1589000+180000+29600</f>
        <v>3030080</v>
      </c>
      <c r="O39" s="56"/>
      <c r="P39" s="56"/>
      <c r="R39" s="49">
        <f>95028.5+188463.6+68400+157936.81+158389.75+145896+29600+29783+198012+97921.6+193183.5+70992+147900+44992.5+21677.5+14703+58116+88392+107822+50854.4+71688+74646+6000+161762+123612.5+114360+30800+133278+45588</f>
        <v>2729798.66</v>
      </c>
      <c r="S39" s="88">
        <f t="shared" si="1"/>
        <v>90.08998640299927</v>
      </c>
    </row>
    <row r="40" spans="1:19" ht="18.75">
      <c r="A40" s="51"/>
      <c r="B40" s="20" t="s">
        <v>36</v>
      </c>
      <c r="C40" s="21"/>
      <c r="D40" s="21"/>
      <c r="E40" s="21"/>
      <c r="F40" s="21"/>
      <c r="G40" s="22"/>
      <c r="H40" s="22"/>
      <c r="I40" s="22"/>
      <c r="J40" s="22"/>
      <c r="K40" s="22"/>
      <c r="L40" s="24"/>
      <c r="M40" s="70">
        <f t="shared" si="2"/>
        <v>427000</v>
      </c>
      <c r="N40" s="50">
        <f>252000+175000</f>
        <v>427000</v>
      </c>
      <c r="O40" s="56"/>
      <c r="P40" s="56"/>
      <c r="R40" s="50">
        <f>34750+28250+25000+31750+25000+32000+25000+45500+70000+25000+34750+25000</f>
        <v>402000</v>
      </c>
      <c r="S40" s="87">
        <f t="shared" si="1"/>
        <v>94.14519906323186</v>
      </c>
    </row>
    <row r="41" spans="1:19" ht="18.75">
      <c r="A41" s="51"/>
      <c r="B41" s="20" t="s">
        <v>37</v>
      </c>
      <c r="C41" s="21"/>
      <c r="D41" s="21"/>
      <c r="E41" s="21"/>
      <c r="F41" s="21"/>
      <c r="G41" s="22"/>
      <c r="H41" s="22"/>
      <c r="I41" s="22"/>
      <c r="J41" s="22"/>
      <c r="K41" s="22"/>
      <c r="L41" s="24"/>
      <c r="M41" s="70">
        <f t="shared" si="2"/>
        <v>70000</v>
      </c>
      <c r="N41" s="50">
        <v>70000</v>
      </c>
      <c r="O41" s="56"/>
      <c r="P41" s="56"/>
      <c r="R41" s="50">
        <v>0</v>
      </c>
      <c r="S41" s="87">
        <f t="shared" si="1"/>
        <v>0</v>
      </c>
    </row>
    <row r="42" spans="1:19" ht="18.75">
      <c r="A42" s="38" t="s">
        <v>62</v>
      </c>
      <c r="B42" s="17" t="s">
        <v>38</v>
      </c>
      <c r="C42" s="18">
        <f>256.5+80.3</f>
        <v>336.8</v>
      </c>
      <c r="D42" s="18">
        <f>C42</f>
        <v>336.8</v>
      </c>
      <c r="E42" s="18">
        <f>74+23.5</f>
        <v>97.5</v>
      </c>
      <c r="F42" s="18">
        <f>D42-E42</f>
        <v>239.3</v>
      </c>
      <c r="G42" s="26">
        <f>1056.05-187.9-170</f>
        <v>698.15</v>
      </c>
      <c r="H42" s="26">
        <v>74.25</v>
      </c>
      <c r="I42" s="26">
        <v>239.3</v>
      </c>
      <c r="J42" s="26"/>
      <c r="K42" s="26" t="s">
        <v>29</v>
      </c>
      <c r="L42" s="26" t="s">
        <v>29</v>
      </c>
      <c r="M42" s="59">
        <f t="shared" si="2"/>
        <v>625900</v>
      </c>
      <c r="N42" s="48">
        <f>N43+N44+N45</f>
        <v>625900</v>
      </c>
      <c r="O42" s="56"/>
      <c r="P42" s="56"/>
      <c r="R42" s="48">
        <f>R43+R44+R45</f>
        <v>441324.46</v>
      </c>
      <c r="S42" s="83">
        <f t="shared" si="1"/>
        <v>70.51037865473718</v>
      </c>
    </row>
    <row r="43" spans="1:19" ht="18.75">
      <c r="A43" s="51"/>
      <c r="B43" s="20" t="s">
        <v>39</v>
      </c>
      <c r="C43" s="21"/>
      <c r="D43" s="21"/>
      <c r="E43" s="21"/>
      <c r="F43" s="21"/>
      <c r="G43" s="22"/>
      <c r="H43" s="27"/>
      <c r="I43" s="27"/>
      <c r="J43" s="22"/>
      <c r="K43" s="22"/>
      <c r="L43" s="22"/>
      <c r="M43" s="70">
        <f t="shared" si="2"/>
        <v>359256.29</v>
      </c>
      <c r="N43" s="49">
        <f>268000+91256.29</f>
        <v>359256.29</v>
      </c>
      <c r="O43" s="56"/>
      <c r="P43" s="56"/>
      <c r="R43" s="49">
        <f>18552.24+72107.68+23190.3+47175.33+23015.91+29757.33+62844.09+23190.03</f>
        <v>299832.91000000003</v>
      </c>
      <c r="S43" s="87">
        <f t="shared" si="1"/>
        <v>83.45933483864681</v>
      </c>
    </row>
    <row r="44" spans="1:19" ht="18.75">
      <c r="A44" s="51"/>
      <c r="B44" s="20" t="s">
        <v>40</v>
      </c>
      <c r="C44" s="21"/>
      <c r="D44" s="21"/>
      <c r="E44" s="21"/>
      <c r="F44" s="21"/>
      <c r="G44" s="22"/>
      <c r="H44" s="27"/>
      <c r="I44" s="27"/>
      <c r="J44" s="22"/>
      <c r="K44" s="22"/>
      <c r="L44" s="22"/>
      <c r="M44" s="70">
        <f t="shared" si="2"/>
        <v>78743.71</v>
      </c>
      <c r="N44" s="49">
        <f>170000-91256.29</f>
        <v>78743.71</v>
      </c>
      <c r="O44" s="56"/>
      <c r="P44" s="56"/>
      <c r="R44" s="49">
        <f>14766.18+14774.76+14766.18+14766.18+14766.18</f>
        <v>73839.48000000001</v>
      </c>
      <c r="S44" s="87">
        <f t="shared" si="1"/>
        <v>93.7719088927865</v>
      </c>
    </row>
    <row r="45" spans="1:19" ht="18.75">
      <c r="A45" s="51"/>
      <c r="B45" s="25" t="s">
        <v>41</v>
      </c>
      <c r="C45" s="21">
        <f>173.3</f>
        <v>173.3</v>
      </c>
      <c r="D45" s="21">
        <f>173.3</f>
        <v>173.3</v>
      </c>
      <c r="E45" s="21">
        <v>83.4</v>
      </c>
      <c r="F45" s="21">
        <f>D45-E45</f>
        <v>89.9</v>
      </c>
      <c r="G45" s="22">
        <f>666.764-14.616-20</f>
        <v>632.148</v>
      </c>
      <c r="H45" s="22">
        <v>166.1</v>
      </c>
      <c r="I45" s="22">
        <v>89.9</v>
      </c>
      <c r="J45" s="22"/>
      <c r="K45" s="22" t="s">
        <v>29</v>
      </c>
      <c r="L45" s="22" t="s">
        <v>29</v>
      </c>
      <c r="M45" s="70">
        <f t="shared" si="2"/>
        <v>187900</v>
      </c>
      <c r="N45" s="30">
        <v>187900</v>
      </c>
      <c r="O45" s="56"/>
      <c r="P45" s="56"/>
      <c r="R45" s="30">
        <f>2357.42+16410.77+16575.26+17703.29+14605.33</f>
        <v>67652.06999999999</v>
      </c>
      <c r="S45" s="87">
        <f t="shared" si="1"/>
        <v>36.00429483767961</v>
      </c>
    </row>
    <row r="46" spans="1:19" ht="17.25" customHeight="1">
      <c r="A46" s="38" t="s">
        <v>63</v>
      </c>
      <c r="B46" s="23" t="s">
        <v>42</v>
      </c>
      <c r="C46" s="18">
        <f>122.6+1881.1</f>
        <v>2003.6999999999998</v>
      </c>
      <c r="D46" s="18">
        <f>121.8+1840</f>
        <v>1961.8</v>
      </c>
      <c r="E46" s="18">
        <v>27.7</v>
      </c>
      <c r="F46" s="18">
        <f>D46-E46</f>
        <v>1934.1</v>
      </c>
      <c r="G46" s="19">
        <f>2239.093+25.0115+616.4775</f>
        <v>2880.582</v>
      </c>
      <c r="H46" s="19">
        <v>1332.8</v>
      </c>
      <c r="I46" s="18">
        <v>1934.1</v>
      </c>
      <c r="J46" s="19"/>
      <c r="K46" s="19" t="s">
        <v>29</v>
      </c>
      <c r="L46" s="19" t="s">
        <v>29</v>
      </c>
      <c r="M46" s="59">
        <f t="shared" si="2"/>
        <v>2123000</v>
      </c>
      <c r="N46" s="48">
        <f>N47+N48+N49</f>
        <v>2123000</v>
      </c>
      <c r="O46" s="56"/>
      <c r="P46" s="56"/>
      <c r="R46" s="48">
        <f>R47+R48+R49</f>
        <v>1315888.6199999999</v>
      </c>
      <c r="S46" s="83">
        <f t="shared" si="1"/>
        <v>61.98250682995761</v>
      </c>
    </row>
    <row r="47" spans="1:19" ht="37.5">
      <c r="A47" s="51"/>
      <c r="B47" s="6" t="s">
        <v>2</v>
      </c>
      <c r="C47" s="21"/>
      <c r="D47" s="21"/>
      <c r="E47" s="21"/>
      <c r="F47" s="21"/>
      <c r="G47" s="22"/>
      <c r="H47" s="22"/>
      <c r="I47" s="21"/>
      <c r="J47" s="22"/>
      <c r="K47" s="22"/>
      <c r="L47" s="22"/>
      <c r="M47" s="70">
        <f t="shared" si="2"/>
        <v>1984500</v>
      </c>
      <c r="N47" s="49">
        <f>1984500</f>
        <v>1984500</v>
      </c>
      <c r="O47" s="56"/>
      <c r="P47" s="56"/>
      <c r="R47" s="49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S47" s="88">
        <f t="shared" si="1"/>
        <v>64.4961723356009</v>
      </c>
    </row>
    <row r="48" spans="1:19" ht="18.75">
      <c r="A48" s="51"/>
      <c r="B48" s="20" t="s">
        <v>40</v>
      </c>
      <c r="C48" s="21"/>
      <c r="D48" s="21"/>
      <c r="E48" s="21"/>
      <c r="F48" s="21"/>
      <c r="G48" s="22"/>
      <c r="H48" s="22"/>
      <c r="I48" s="21"/>
      <c r="J48" s="22"/>
      <c r="K48" s="22"/>
      <c r="L48" s="22"/>
      <c r="M48" s="70">
        <f t="shared" si="2"/>
        <v>117815</v>
      </c>
      <c r="N48" s="49">
        <f>117815</f>
        <v>117815</v>
      </c>
      <c r="O48" s="56"/>
      <c r="P48" s="56"/>
      <c r="R48" s="49">
        <f>5874.96+10528.68+2678.52+4068.84+4824.24+994.56+450.26</f>
        <v>29420.059999999998</v>
      </c>
      <c r="S48" s="87">
        <f t="shared" si="1"/>
        <v>24.971404320332724</v>
      </c>
    </row>
    <row r="49" spans="1:19" ht="18.75">
      <c r="A49" s="51"/>
      <c r="B49" s="25" t="s">
        <v>41</v>
      </c>
      <c r="C49" s="21">
        <v>22463.7</v>
      </c>
      <c r="D49" s="21">
        <f>7156.8+15302.9</f>
        <v>22459.7</v>
      </c>
      <c r="E49" s="21">
        <f>1375.6+2420.3</f>
        <v>3795.9</v>
      </c>
      <c r="F49" s="21">
        <v>18663.8</v>
      </c>
      <c r="G49" s="22">
        <v>26758.69305</v>
      </c>
      <c r="H49" s="22" t="e">
        <f>#REF!+#REF!+#REF!+#REF!</f>
        <v>#REF!</v>
      </c>
      <c r="I49" s="22" t="e">
        <f>#REF!+#REF!+#REF!+#REF!</f>
        <v>#REF!</v>
      </c>
      <c r="J49" s="22"/>
      <c r="K49" s="22" t="s">
        <v>29</v>
      </c>
      <c r="L49" s="22" t="s">
        <v>29</v>
      </c>
      <c r="M49" s="70">
        <f t="shared" si="2"/>
        <v>20685</v>
      </c>
      <c r="N49" s="30">
        <v>20685</v>
      </c>
      <c r="O49" s="56"/>
      <c r="P49" s="56"/>
      <c r="R49" s="30">
        <f>848.74+587.05+557.5+750.92+889.87+917.3+825+1165.64</f>
        <v>6542.02</v>
      </c>
      <c r="S49" s="87">
        <f t="shared" si="1"/>
        <v>31.626879381194108</v>
      </c>
    </row>
    <row r="50" spans="1:19" ht="18.75">
      <c r="A50" s="38" t="s">
        <v>64</v>
      </c>
      <c r="B50" s="28" t="s">
        <v>43</v>
      </c>
      <c r="C50" s="18"/>
      <c r="D50" s="18"/>
      <c r="E50" s="18"/>
      <c r="F50" s="18"/>
      <c r="G50" s="19"/>
      <c r="H50" s="19"/>
      <c r="I50" s="19"/>
      <c r="J50" s="19"/>
      <c r="K50" s="29"/>
      <c r="L50" s="29"/>
      <c r="M50" s="59">
        <f t="shared" si="2"/>
        <v>135989</v>
      </c>
      <c r="N50" s="52">
        <f>N51</f>
        <v>135989</v>
      </c>
      <c r="O50" s="56"/>
      <c r="P50" s="56"/>
      <c r="R50" s="52">
        <f>R51</f>
        <v>128500.84000000001</v>
      </c>
      <c r="S50" s="83">
        <f t="shared" si="1"/>
        <v>94.4935546257418</v>
      </c>
    </row>
    <row r="51" spans="1:19" ht="37.5">
      <c r="A51" s="51"/>
      <c r="B51" s="6" t="s">
        <v>44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70">
        <f t="shared" si="2"/>
        <v>135989</v>
      </c>
      <c r="N51" s="30">
        <f>135989</f>
        <v>135989</v>
      </c>
      <c r="O51" s="56"/>
      <c r="P51" s="56"/>
      <c r="R51" s="30">
        <f>6438.31+13187.76+54909+12393.8+41571.97</f>
        <v>128500.84000000001</v>
      </c>
      <c r="S51" s="88">
        <f t="shared" si="1"/>
        <v>94.4935546257418</v>
      </c>
    </row>
    <row r="52" spans="1:19" s="1" customFormat="1" ht="18.75">
      <c r="A52" s="38" t="s">
        <v>65</v>
      </c>
      <c r="B52" s="4" t="s">
        <v>3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4109678.88</v>
      </c>
      <c r="N52" s="52">
        <v>4109678.88</v>
      </c>
      <c r="O52" s="56"/>
      <c r="P52" s="58"/>
      <c r="R52" s="52">
        <f>307554.9+660163.29+188518.82+197590.73+136793.57+167192.17+227989.31+243188.57+455978.54+258387.82+212790</f>
        <v>3056147.7199999997</v>
      </c>
      <c r="S52" s="83">
        <f t="shared" si="1"/>
        <v>74.36463551624257</v>
      </c>
    </row>
    <row r="53" spans="1:19" s="1" customFormat="1" ht="18.75">
      <c r="A53" s="38" t="s">
        <v>66</v>
      </c>
      <c r="B53" s="23" t="s">
        <v>4</v>
      </c>
      <c r="C53" s="21"/>
      <c r="D53" s="21"/>
      <c r="E53" s="21"/>
      <c r="F53" s="21"/>
      <c r="G53" s="22"/>
      <c r="H53" s="22"/>
      <c r="I53" s="22"/>
      <c r="J53" s="22"/>
      <c r="K53" s="24"/>
      <c r="L53" s="24"/>
      <c r="M53" s="59">
        <f t="shared" si="2"/>
        <v>19021537.95</v>
      </c>
      <c r="N53" s="52">
        <v>19021537.95</v>
      </c>
      <c r="O53" s="56"/>
      <c r="P53" s="58"/>
      <c r="R53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+347508+2124373.04-455978.54+521262+709410.6+584220.49</f>
        <v>16452433.330000002</v>
      </c>
      <c r="S53" s="83">
        <f t="shared" si="1"/>
        <v>86.4937071505304</v>
      </c>
    </row>
    <row r="54" spans="1:19" s="1" customFormat="1" ht="18.75">
      <c r="A54" s="38" t="s">
        <v>82</v>
      </c>
      <c r="B54" s="23" t="s">
        <v>83</v>
      </c>
      <c r="C54" s="21"/>
      <c r="D54" s="21"/>
      <c r="E54" s="21"/>
      <c r="F54" s="21"/>
      <c r="G54" s="22"/>
      <c r="H54" s="22"/>
      <c r="I54" s="22"/>
      <c r="J54" s="22"/>
      <c r="K54" s="24"/>
      <c r="L54" s="24"/>
      <c r="M54" s="59">
        <f t="shared" si="2"/>
        <v>257000</v>
      </c>
      <c r="N54" s="52">
        <v>257000</v>
      </c>
      <c r="O54" s="56"/>
      <c r="P54" s="58"/>
      <c r="R54" s="52">
        <f>23700.62+50875.25+50875.25+50775.25+8771.48</f>
        <v>184997.85</v>
      </c>
      <c r="S54" s="83">
        <f t="shared" si="1"/>
        <v>71.98359922178989</v>
      </c>
    </row>
    <row r="55" spans="1:19" s="1" customFormat="1" ht="18.75">
      <c r="A55" s="38" t="s">
        <v>116</v>
      </c>
      <c r="B55" s="23" t="s">
        <v>117</v>
      </c>
      <c r="C55" s="21"/>
      <c r="D55" s="21"/>
      <c r="E55" s="21"/>
      <c r="F55" s="21"/>
      <c r="G55" s="22"/>
      <c r="H55" s="22"/>
      <c r="I55" s="22"/>
      <c r="J55" s="22"/>
      <c r="K55" s="24"/>
      <c r="L55" s="24"/>
      <c r="M55" s="59">
        <f t="shared" si="2"/>
        <v>1589311.46</v>
      </c>
      <c r="N55" s="52">
        <v>1589311.46</v>
      </c>
      <c r="O55" s="56"/>
      <c r="P55" s="58"/>
      <c r="R55" s="52">
        <f>R56</f>
        <v>859642.65</v>
      </c>
      <c r="S55" s="91">
        <f t="shared" si="1"/>
        <v>54.08899838927733</v>
      </c>
    </row>
    <row r="56" spans="1:19" s="1" customFormat="1" ht="37.5">
      <c r="A56" s="38"/>
      <c r="B56" s="25" t="s">
        <v>118</v>
      </c>
      <c r="C56" s="21"/>
      <c r="D56" s="21"/>
      <c r="E56" s="21"/>
      <c r="F56" s="21"/>
      <c r="G56" s="22"/>
      <c r="H56" s="22"/>
      <c r="I56" s="22"/>
      <c r="J56" s="22"/>
      <c r="K56" s="24"/>
      <c r="L56" s="24"/>
      <c r="M56" s="70">
        <f t="shared" si="2"/>
        <v>1589311.46</v>
      </c>
      <c r="N56" s="101">
        <v>1589311.46</v>
      </c>
      <c r="O56" s="56"/>
      <c r="P56" s="58"/>
      <c r="R56" s="100">
        <f>201636.21+106959.16+388332+795.26+161920.02</f>
        <v>859642.65</v>
      </c>
      <c r="S56" s="87">
        <f t="shared" si="1"/>
        <v>54.08899838927733</v>
      </c>
    </row>
    <row r="57" spans="1:19" ht="18.75">
      <c r="A57" s="38" t="s">
        <v>67</v>
      </c>
      <c r="B57" s="23" t="s">
        <v>9</v>
      </c>
      <c r="C57" s="18">
        <f>20554.4+1254+42.4</f>
        <v>21850.800000000003</v>
      </c>
      <c r="D57" s="18">
        <f>20118.2+1254+42.4</f>
        <v>21414.600000000002</v>
      </c>
      <c r="E57" s="18">
        <f>166.5+18.4</f>
        <v>184.9</v>
      </c>
      <c r="F57" s="18">
        <f>19951.7+1254+24</f>
        <v>21229.7</v>
      </c>
      <c r="G57" s="31">
        <f>25447.6+198</f>
        <v>25645.6</v>
      </c>
      <c r="H57" s="31">
        <v>10120.4</v>
      </c>
      <c r="I57" s="18">
        <v>21229.7</v>
      </c>
      <c r="J57" s="31"/>
      <c r="K57" s="31"/>
      <c r="L57" s="31"/>
      <c r="M57" s="59">
        <f t="shared" si="2"/>
        <v>18162154.96</v>
      </c>
      <c r="N57" s="52">
        <f>N58+N59</f>
        <v>18162154.96</v>
      </c>
      <c r="O57" s="56"/>
      <c r="P57" s="56"/>
      <c r="R57" s="52">
        <f>R58+R59</f>
        <v>18162151.85</v>
      </c>
      <c r="S57" s="83">
        <f t="shared" si="1"/>
        <v>99.99998287648131</v>
      </c>
    </row>
    <row r="58" spans="1:19" ht="60.75" customHeight="1">
      <c r="A58" s="51"/>
      <c r="B58" s="34" t="s">
        <v>5</v>
      </c>
      <c r="C58" s="21"/>
      <c r="D58" s="21"/>
      <c r="E58" s="21"/>
      <c r="F58" s="21"/>
      <c r="G58" s="32"/>
      <c r="H58" s="32"/>
      <c r="I58" s="32"/>
      <c r="J58" s="7"/>
      <c r="K58" s="32"/>
      <c r="L58" s="33"/>
      <c r="M58" s="70">
        <f t="shared" si="2"/>
        <v>6853694.22</v>
      </c>
      <c r="N58" s="30">
        <f>7232100-378405.78</f>
        <v>6853694.22</v>
      </c>
      <c r="O58" s="56"/>
      <c r="P58" s="56"/>
      <c r="R58" s="49">
        <f>1341065+264830+1439254.25+119395.75+507870+59340+35936.5+335196.18+472850.38+220509.52+146366.88+71415+175089.2+268474.5+377603.92+171362.7+194439.28+227897.54+71415+353382.62</f>
        <v>6853694.220000001</v>
      </c>
      <c r="S58" s="88">
        <f t="shared" si="1"/>
        <v>100.00000000000003</v>
      </c>
    </row>
    <row r="59" spans="1:19" ht="115.5" customHeight="1">
      <c r="A59" s="51"/>
      <c r="B59" s="75" t="s">
        <v>6</v>
      </c>
      <c r="C59" s="21"/>
      <c r="D59" s="21"/>
      <c r="E59" s="21"/>
      <c r="F59" s="21"/>
      <c r="G59" s="32"/>
      <c r="H59" s="32"/>
      <c r="I59" s="32"/>
      <c r="J59" s="7"/>
      <c r="K59" s="32"/>
      <c r="L59" s="33"/>
      <c r="M59" s="70">
        <f t="shared" si="2"/>
        <v>11308460.74</v>
      </c>
      <c r="N59" s="30">
        <f>17820200-6511739.26</f>
        <v>11308460.74</v>
      </c>
      <c r="O59" s="56"/>
      <c r="P59" s="56"/>
      <c r="R59" s="30">
        <f>485919.56+3050150.33+4015340.79+1228787.45+1461675.45+214759.4+851824.65</f>
        <v>11308457.629999999</v>
      </c>
      <c r="S59" s="88">
        <f t="shared" si="1"/>
        <v>99.99997249846754</v>
      </c>
    </row>
    <row r="60" spans="1:19" ht="18.75">
      <c r="A60" s="38" t="s">
        <v>68</v>
      </c>
      <c r="B60" s="36" t="s">
        <v>45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59">
        <f t="shared" si="2"/>
        <v>1033500</v>
      </c>
      <c r="N60" s="54">
        <f>N62+N61</f>
        <v>1033500</v>
      </c>
      <c r="O60" s="56"/>
      <c r="P60" s="56"/>
      <c r="R60" s="54">
        <f>R62+R61</f>
        <v>669069.4899999999</v>
      </c>
      <c r="S60" s="83">
        <f t="shared" si="1"/>
        <v>64.73821867440735</v>
      </c>
    </row>
    <row r="61" spans="1:19" ht="18.75">
      <c r="A61" s="51"/>
      <c r="B61" s="20" t="s">
        <v>7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70">
        <f t="shared" si="2"/>
        <v>933500</v>
      </c>
      <c r="N61" s="53">
        <v>933500</v>
      </c>
      <c r="O61" s="56"/>
      <c r="P61" s="56"/>
      <c r="R61" s="53">
        <f>12823.97+314438.51+1053.06+121644.29+64211.93+20568.88+13082.39+4993.7+64170</f>
        <v>616986.7299999999</v>
      </c>
      <c r="S61" s="83">
        <f t="shared" si="1"/>
        <v>66.09391858596678</v>
      </c>
    </row>
    <row r="62" spans="1:19" ht="18.75">
      <c r="A62" s="51"/>
      <c r="B62" s="20" t="s">
        <v>46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70">
        <f t="shared" si="2"/>
        <v>100000</v>
      </c>
      <c r="N62" s="53">
        <v>100000</v>
      </c>
      <c r="O62" s="56"/>
      <c r="P62" s="56"/>
      <c r="R62" s="53">
        <f>385.27+6084.22+13129.31+12261.98+8270.72+11951.26</f>
        <v>52082.76</v>
      </c>
      <c r="S62" s="83">
        <f t="shared" si="1"/>
        <v>52.08276000000001</v>
      </c>
    </row>
    <row r="63" spans="1:19" ht="18.75">
      <c r="A63" s="38" t="s">
        <v>69</v>
      </c>
      <c r="B63" s="17" t="s">
        <v>8</v>
      </c>
      <c r="C63" s="18">
        <f>31.3+21.5</f>
        <v>52.8</v>
      </c>
      <c r="D63" s="18">
        <f>C63</f>
        <v>52.8</v>
      </c>
      <c r="E63" s="18">
        <v>0</v>
      </c>
      <c r="F63" s="18">
        <f>D63</f>
        <v>52.8</v>
      </c>
      <c r="G63" s="19">
        <v>100</v>
      </c>
      <c r="H63" s="19">
        <v>0</v>
      </c>
      <c r="I63" s="19">
        <v>52.8</v>
      </c>
      <c r="J63" s="19" t="s">
        <v>29</v>
      </c>
      <c r="K63" s="19" t="s">
        <v>29</v>
      </c>
      <c r="L63" s="19" t="s">
        <v>29</v>
      </c>
      <c r="M63" s="59">
        <f t="shared" si="2"/>
        <v>821358.2</v>
      </c>
      <c r="N63" s="48">
        <v>821358.2</v>
      </c>
      <c r="O63" s="56"/>
      <c r="P63" s="56"/>
      <c r="R63" s="48">
        <f>57313.38+61144.73+58977.29+61169.9+64788.11+63325.73+67704.89+66130.42+67368.74+72480.48</f>
        <v>640403.6699999999</v>
      </c>
      <c r="S63" s="83">
        <f t="shared" si="1"/>
        <v>77.96886547184894</v>
      </c>
    </row>
    <row r="64" spans="1:19" ht="18.75">
      <c r="A64" s="38" t="s">
        <v>119</v>
      </c>
      <c r="B64" s="17" t="s">
        <v>47</v>
      </c>
      <c r="C64" s="18" t="e">
        <f>#REF!+#REF!</f>
        <v>#REF!</v>
      </c>
      <c r="D64" s="18" t="e">
        <f>#REF!+#REF!</f>
        <v>#REF!</v>
      </c>
      <c r="E64" s="18" t="e">
        <f>#REF!+#REF!</f>
        <v>#REF!</v>
      </c>
      <c r="F64" s="18" t="e">
        <f>#REF!+#REF!</f>
        <v>#REF!</v>
      </c>
      <c r="G64" s="19" t="e">
        <f>#REF!+#REF!</f>
        <v>#REF!</v>
      </c>
      <c r="H64" s="19"/>
      <c r="I64" s="19">
        <v>3916.0000000000005</v>
      </c>
      <c r="J64" s="19"/>
      <c r="K64" s="19"/>
      <c r="L64" s="19"/>
      <c r="M64" s="59">
        <f t="shared" si="2"/>
        <v>59112.8</v>
      </c>
      <c r="N64" s="48">
        <f>59136-23.2</f>
        <v>59112.8</v>
      </c>
      <c r="O64" s="56"/>
      <c r="P64" s="56"/>
      <c r="R64" s="48">
        <v>15318.9</v>
      </c>
      <c r="S64" s="83">
        <f t="shared" si="1"/>
        <v>25.91469191105818</v>
      </c>
    </row>
    <row r="65" spans="1:19" ht="18.75">
      <c r="A65" s="38" t="s">
        <v>84</v>
      </c>
      <c r="B65" s="84" t="s">
        <v>107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59">
        <f>N65</f>
        <v>27000</v>
      </c>
      <c r="N65" s="48">
        <v>27000</v>
      </c>
      <c r="O65" s="56"/>
      <c r="P65" s="56"/>
      <c r="R65" s="48">
        <f>8994.7+8994.7</f>
        <v>17989.4</v>
      </c>
      <c r="S65" s="83">
        <f t="shared" si="1"/>
        <v>66.62740740740742</v>
      </c>
    </row>
    <row r="66" spans="1:19" ht="37.5">
      <c r="A66" s="38" t="s">
        <v>86</v>
      </c>
      <c r="B66" s="84" t="s">
        <v>78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59">
        <f t="shared" si="2"/>
        <v>5475807.68</v>
      </c>
      <c r="N66" s="48">
        <v>5475807.68</v>
      </c>
      <c r="O66" s="56"/>
      <c r="P66" s="61"/>
      <c r="R66" s="53">
        <v>5475807.68</v>
      </c>
      <c r="S66" s="87">
        <f t="shared" si="1"/>
        <v>100</v>
      </c>
    </row>
    <row r="67" spans="1:19" ht="37.5">
      <c r="A67" s="38" t="s">
        <v>108</v>
      </c>
      <c r="B67" s="84" t="s">
        <v>85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59">
        <f t="shared" si="2"/>
        <v>170381.14</v>
      </c>
      <c r="N67" s="48">
        <f>550000-379618.86</f>
        <v>170381.14</v>
      </c>
      <c r="O67" s="56"/>
      <c r="P67" s="61"/>
      <c r="R67" s="53">
        <v>170381.14</v>
      </c>
      <c r="S67" s="87">
        <f t="shared" si="1"/>
        <v>100</v>
      </c>
    </row>
    <row r="68" spans="1:19" ht="38.25">
      <c r="A68" s="38" t="s">
        <v>110</v>
      </c>
      <c r="B68" s="84" t="s">
        <v>109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59">
        <f>N68</f>
        <v>305182</v>
      </c>
      <c r="N68" s="48">
        <v>305182</v>
      </c>
      <c r="O68" s="56"/>
      <c r="P68" s="61"/>
      <c r="R68" s="97">
        <v>0</v>
      </c>
      <c r="S68" s="98">
        <f t="shared" si="1"/>
        <v>0</v>
      </c>
    </row>
    <row r="69" spans="1:19" ht="37.5">
      <c r="A69" s="38" t="s">
        <v>111</v>
      </c>
      <c r="B69" s="17" t="s">
        <v>91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>N69+O69</f>
        <v>10006012</v>
      </c>
      <c r="N69" s="48">
        <f>N70+N71+N72</f>
        <v>10006012</v>
      </c>
      <c r="O69" s="67"/>
      <c r="P69" s="68"/>
      <c r="R69" s="48">
        <f>R70+R71+R72</f>
        <v>7408278</v>
      </c>
      <c r="S69" s="91">
        <f t="shared" si="1"/>
        <v>74.03826819316227</v>
      </c>
    </row>
    <row r="70" spans="1:19" ht="18.75">
      <c r="A70" s="38"/>
      <c r="B70" s="20" t="s">
        <v>87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70">
        <f>N70+O70</f>
        <v>2000000</v>
      </c>
      <c r="N70" s="85">
        <f>1500000+500000</f>
        <v>2000000</v>
      </c>
      <c r="O70" s="67"/>
      <c r="P70" s="68"/>
      <c r="R70" s="53">
        <f>185695.2+283914.6+257099.4+99340.8+62907.6+129854.4+71424+72591.6+236332.8+190290+101258.4+5511.6+10389.6</f>
        <v>1706610.0000000002</v>
      </c>
      <c r="S70" s="87">
        <f t="shared" si="1"/>
        <v>85.33050000000001</v>
      </c>
    </row>
    <row r="71" spans="1:19" ht="18.75">
      <c r="A71" s="38"/>
      <c r="B71" s="20" t="s">
        <v>88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70">
        <f>N71+O71</f>
        <v>4506012</v>
      </c>
      <c r="N71" s="85">
        <f>4506012</f>
        <v>4506012</v>
      </c>
      <c r="O71" s="67"/>
      <c r="P71" s="68"/>
      <c r="R71" s="53">
        <f>309091.2+295428.55+104848.25+410089.8+99821.4+693328.2+131138.4+79300.2-85899.6+204077.4+30228.6+338492.4+314325+469128-30844.2+68012.4+172592.4+166410+6012</f>
        <v>3775580.3999999994</v>
      </c>
      <c r="S71" s="87">
        <f t="shared" si="1"/>
        <v>83.78984343583637</v>
      </c>
    </row>
    <row r="72" spans="1:19" ht="18.75">
      <c r="A72" s="38"/>
      <c r="B72" s="20" t="s">
        <v>89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70">
        <f>N72+O72</f>
        <v>3500000</v>
      </c>
      <c r="N72" s="85">
        <v>3500000</v>
      </c>
      <c r="O72" s="67"/>
      <c r="P72" s="68"/>
      <c r="R72" s="53">
        <f>74552+801148+76187.2+99949.6+104283-48504+223664-126980+76302+165654+137199.2+112404+105777.6+137434+9230+19742.6+104708.4-146664</f>
        <v>1926087.6</v>
      </c>
      <c r="S72" s="87">
        <f t="shared" si="1"/>
        <v>55.03107428571429</v>
      </c>
    </row>
    <row r="73" spans="1:19" ht="18.75">
      <c r="A73" s="39"/>
      <c r="B73" s="40" t="s">
        <v>50</v>
      </c>
      <c r="C73" s="39"/>
      <c r="D73" s="39"/>
      <c r="E73" s="39"/>
      <c r="F73" s="39"/>
      <c r="G73" s="72"/>
      <c r="H73" s="72"/>
      <c r="I73" s="72"/>
      <c r="J73" s="72"/>
      <c r="K73" s="72"/>
      <c r="L73" s="72"/>
      <c r="M73" s="60">
        <f>M7+M27+M29+M31</f>
        <v>95579035.83</v>
      </c>
      <c r="N73" s="60">
        <f>N7+N27+N29+N31</f>
        <v>79793966.07</v>
      </c>
      <c r="O73" s="60">
        <f>O7+O27+O29+O31</f>
        <v>15785069.76</v>
      </c>
      <c r="P73" s="60">
        <f>P7+P27+P29+P31</f>
        <v>15785069.76</v>
      </c>
      <c r="R73" s="80">
        <f>R27+R29+R31+R7</f>
        <v>74270817.23</v>
      </c>
      <c r="S73" s="82">
        <f t="shared" si="1"/>
        <v>77.70617958743642</v>
      </c>
    </row>
    <row r="74" spans="2:15" ht="12.75" hidden="1">
      <c r="B74">
        <v>2240</v>
      </c>
      <c r="M74" s="41">
        <f>M30+M33+M36+M43+M52+M53+M57+M64</f>
        <v>51124880.879999995</v>
      </c>
      <c r="O74" s="56"/>
    </row>
    <row r="75" spans="2:15" ht="12.75" hidden="1">
      <c r="B75">
        <v>2272</v>
      </c>
      <c r="M75" s="41">
        <f>M44+M48+M61</f>
        <v>1130058.71</v>
      </c>
      <c r="O75" s="56"/>
    </row>
    <row r="76" spans="2:15" ht="12.75" hidden="1">
      <c r="B76">
        <v>2273</v>
      </c>
      <c r="M76" s="41">
        <f>M34+M45+M49+M63+M62</f>
        <v>7247443.2</v>
      </c>
      <c r="O76" s="56"/>
    </row>
    <row r="77" spans="2:15" ht="12.75" hidden="1">
      <c r="B77">
        <v>2610</v>
      </c>
      <c r="M77" s="41">
        <f>M35+M47+M51</f>
        <v>2460889</v>
      </c>
      <c r="O77" s="56"/>
    </row>
    <row r="78" spans="13:15" ht="12.75" hidden="1">
      <c r="M78" s="41">
        <f>M74+M75+M76+M77</f>
        <v>61963271.79</v>
      </c>
      <c r="O78" s="56"/>
    </row>
    <row r="81" spans="2:13" ht="18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2016-11-01T06:59:37Z</cp:lastPrinted>
  <dcterms:created xsi:type="dcterms:W3CDTF">2014-01-17T10:52:16Z</dcterms:created>
  <dcterms:modified xsi:type="dcterms:W3CDTF">2016-11-02T11:16:30Z</dcterms:modified>
  <cp:category/>
  <cp:version/>
  <cp:contentType/>
  <cp:contentStatus/>
</cp:coreProperties>
</file>